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I:\Meadow Creek Barbecue Supply\Resources\"/>
    </mc:Choice>
  </mc:AlternateContent>
  <xr:revisionPtr revIDLastSave="0" documentId="13_ncr:1_{7418D738-E344-41E6-BD80-C73A235B6704}" xr6:coauthVersionLast="47" xr6:coauthVersionMax="47" xr10:uidLastSave="{00000000-0000-0000-0000-000000000000}"/>
  <bookViews>
    <workbookView xWindow="1125" yWindow="1125" windowWidth="32835" windowHeight="19620" xr2:uid="{00000000-000D-0000-FFFF-FFFF00000000}"/>
  </bookViews>
  <sheets>
    <sheet name="Catering Worksheet" sheetId="1" r:id="rId1"/>
  </sheets>
  <definedNames>
    <definedName name="_xlnm.Print_Area" localSheetId="0">'Catering Worksheet'!$A$2:$M$26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5" i="1" l="1"/>
  <c r="B10" i="1" s="1"/>
  <c r="E32" i="1"/>
  <c r="E33" i="1"/>
  <c r="C35" i="1"/>
  <c r="C36" i="1" s="1"/>
  <c r="D35" i="1"/>
  <c r="D36" i="1" s="1"/>
  <c r="F35" i="1"/>
  <c r="F36" i="1" s="1"/>
  <c r="G35" i="1"/>
  <c r="G36" i="1" s="1"/>
  <c r="H35" i="1"/>
  <c r="H36" i="1" s="1"/>
  <c r="I35" i="1"/>
  <c r="I36" i="1" s="1"/>
  <c r="J35" i="1"/>
  <c r="J36" i="1" s="1"/>
  <c r="B35" i="1"/>
  <c r="B36" i="1" s="1"/>
  <c r="E36" i="1" l="1"/>
  <c r="K30" i="1" s="1"/>
  <c r="B26" i="1"/>
  <c r="J33" i="1"/>
  <c r="B17" i="1" s="1"/>
  <c r="J32" i="1"/>
  <c r="I33" i="1"/>
  <c r="B16" i="1" s="1"/>
  <c r="H33" i="1"/>
  <c r="B14" i="1"/>
  <c r="I14" i="1" s="1"/>
  <c r="G33" i="1"/>
  <c r="E10" i="1"/>
  <c r="G32" i="1"/>
  <c r="H32" i="1"/>
  <c r="I32" i="1"/>
  <c r="B24" i="1"/>
  <c r="B23" i="1"/>
  <c r="B20" i="1"/>
  <c r="B19" i="1"/>
  <c r="B18" i="1"/>
  <c r="B33" i="1"/>
  <c r="F33" i="1"/>
  <c r="C33" i="1"/>
  <c r="D33" i="1"/>
  <c r="B22" i="1"/>
  <c r="B21" i="1"/>
  <c r="C32" i="1"/>
  <c r="D32" i="1"/>
  <c r="F32" i="1"/>
  <c r="B32" i="1"/>
  <c r="B25" i="1"/>
  <c r="E21" i="1" l="1"/>
  <c r="I21" i="1"/>
  <c r="E20" i="1"/>
  <c r="I20" i="1"/>
  <c r="E14" i="1"/>
  <c r="F25" i="1"/>
  <c r="G25" i="1" s="1"/>
  <c r="I25" i="1"/>
  <c r="F19" i="1"/>
  <c r="G19" i="1" s="1"/>
  <c r="I19" i="1"/>
  <c r="E18" i="1"/>
  <c r="I18" i="1"/>
  <c r="F24" i="1"/>
  <c r="G24" i="1" s="1"/>
  <c r="I24" i="1"/>
  <c r="E26" i="1"/>
  <c r="I26" i="1"/>
  <c r="F22" i="1"/>
  <c r="G22" i="1" s="1"/>
  <c r="I22" i="1"/>
  <c r="F23" i="1"/>
  <c r="G23" i="1" s="1"/>
  <c r="I23" i="1"/>
  <c r="B6" i="1"/>
  <c r="E6" i="1" s="1"/>
  <c r="B9" i="1"/>
  <c r="F9" i="1" s="1"/>
  <c r="F10" i="1"/>
  <c r="E24" i="1"/>
  <c r="B7" i="1"/>
  <c r="E7" i="1" s="1"/>
  <c r="B8" i="1"/>
  <c r="F8" i="1" s="1"/>
  <c r="F18" i="1"/>
  <c r="G18" i="1" s="1"/>
  <c r="E22" i="1"/>
  <c r="F21" i="1"/>
  <c r="G21" i="1" s="1"/>
  <c r="B15" i="1"/>
  <c r="E15" i="1" s="1"/>
  <c r="B12" i="1"/>
  <c r="E12" i="1" s="1"/>
  <c r="F20" i="1"/>
  <c r="G20" i="1" s="1"/>
  <c r="B13" i="1"/>
  <c r="F13" i="1" s="1"/>
  <c r="E3" i="1"/>
  <c r="B11" i="1" s="1"/>
  <c r="F11" i="1" s="1"/>
  <c r="E19" i="1"/>
  <c r="F16" i="1"/>
  <c r="E16" i="1"/>
  <c r="E17" i="1"/>
  <c r="F17" i="1"/>
  <c r="E25" i="1"/>
  <c r="F26" i="1"/>
  <c r="G26" i="1" s="1"/>
  <c r="F14" i="1"/>
  <c r="G14" i="1" s="1"/>
  <c r="E23" i="1"/>
  <c r="G13" i="1" l="1"/>
  <c r="I13" i="1"/>
  <c r="I11" i="1"/>
  <c r="G11" i="1"/>
  <c r="G8" i="1"/>
  <c r="I8" i="1"/>
  <c r="G9" i="1"/>
  <c r="I9" i="1"/>
  <c r="G16" i="1"/>
  <c r="I16" i="1"/>
  <c r="G17" i="1"/>
  <c r="I17" i="1"/>
  <c r="G10" i="1"/>
  <c r="I10" i="1"/>
  <c r="E9" i="1"/>
  <c r="E13" i="1"/>
  <c r="E8" i="1"/>
  <c r="F7" i="1"/>
  <c r="F6" i="1"/>
  <c r="F15" i="1"/>
  <c r="E11" i="1"/>
  <c r="F12" i="1"/>
  <c r="G12" i="1" l="1"/>
  <c r="I12" i="1"/>
  <c r="G7" i="1"/>
  <c r="I7" i="1"/>
  <c r="G6" i="1"/>
  <c r="I6" i="1"/>
  <c r="I15" i="1"/>
  <c r="G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dt24225</author>
    <author>Mike Trump</author>
  </authors>
  <commentList>
    <comment ref="B2" authorId="0" shapeId="0" xr:uid="{00000000-0006-0000-0000-000001000000}">
      <text>
        <r>
          <rPr>
            <sz val="11"/>
            <color indexed="12"/>
            <rFont val="Arial"/>
            <family val="2"/>
          </rPr>
          <t>This figure affects the Raw Material Needed and assumes that multiple meat choices will reduce the amount of raw materials needed by the same factor. For example, two meat choices will reduce the total Raw Material Needed by one half, three meat choices will reduce it by a third, and so on.</t>
        </r>
      </text>
    </comment>
    <comment ref="C2" authorId="0" shapeId="0" xr:uid="{00000000-0006-0000-0000-000002000000}">
      <text>
        <r>
          <rPr>
            <sz val="11"/>
            <color indexed="12"/>
            <rFont val="Arial"/>
            <family val="2"/>
          </rPr>
          <t>This figure affects the Raw Material Needed and assumes that multiple side choices will reduce the amount of raw materials needed by the same factor.  For example, two side choices will reduce the total Raw Material Needed by one half, three side choices will reduce it by a third, and so on.</t>
        </r>
      </text>
    </comment>
    <comment ref="D2" authorId="1" shapeId="0" xr:uid="{00000000-0006-0000-0000-000003000000}">
      <text>
        <r>
          <rPr>
            <sz val="11"/>
            <color indexed="12"/>
            <rFont val="Arial"/>
            <family val="2"/>
          </rPr>
          <t>This is the total post-cook serving size in pounds. For example, if a quarter pound of two kinds of meat are needed, then enter 0.5 in this field for a total of 1/2 pound.</t>
        </r>
      </text>
    </comment>
    <comment ref="E2" authorId="1" shapeId="0" xr:uid="{00000000-0006-0000-0000-000004000000}">
      <text>
        <r>
          <rPr>
            <sz val="11"/>
            <color indexed="12"/>
            <rFont val="Arial"/>
            <family val="2"/>
          </rPr>
          <t>This figure comes from taking the post cooked weight and dividing it by the pre-cooked, trimmed weight, calculated below in the Meat Retention Calculator.</t>
        </r>
      </text>
    </comment>
    <comment ref="F2" authorId="1" shapeId="0" xr:uid="{00000000-0006-0000-0000-000005000000}">
      <text>
        <r>
          <rPr>
            <sz val="11"/>
            <color indexed="12"/>
            <rFont val="Arial"/>
            <family val="2"/>
          </rPr>
          <t>Enter a value in this field if you want to override the calculated figure from the Meat Retention Calculator.</t>
        </r>
      </text>
    </comment>
    <comment ref="H2" authorId="1" shapeId="0" xr:uid="{00000000-0006-0000-0000-000006000000}">
      <text>
        <r>
          <rPr>
            <sz val="11"/>
            <color indexed="12"/>
            <rFont val="Arial"/>
            <family val="2"/>
          </rPr>
          <t>Enter "Y" if you purchase your meat and supplies without sales tax or enter "N" if you purchase meat and supplies with sales tax.</t>
        </r>
      </text>
    </comment>
    <comment ref="B5" authorId="1" shapeId="0" xr:uid="{00000000-0006-0000-0000-000007000000}">
      <text>
        <r>
          <rPr>
            <sz val="11"/>
            <color indexed="12"/>
            <rFont val="Arial"/>
            <family val="2"/>
          </rPr>
          <t>This figure is the target amount of raw materials that you should start with given the number of people, meat and side choices, portion size, and meat retention values.</t>
        </r>
      </text>
    </comment>
    <comment ref="D5" authorId="1" shapeId="0" xr:uid="{00000000-0006-0000-0000-000008000000}">
      <text>
        <r>
          <rPr>
            <sz val="11"/>
            <color indexed="12"/>
            <rFont val="Arial"/>
            <family val="2"/>
          </rPr>
          <t>Enter the cost per unit from your supplier or from your own calculations.</t>
        </r>
      </text>
    </comment>
    <comment ref="E5" authorId="1" shapeId="0" xr:uid="{00000000-0006-0000-0000-000009000000}">
      <text>
        <r>
          <rPr>
            <sz val="11"/>
            <color indexed="12"/>
            <rFont val="Arial"/>
            <family val="2"/>
          </rPr>
          <t>This cost includes your sales tax paid on goods purchased.</t>
        </r>
      </text>
    </comment>
    <comment ref="G5" authorId="1" shapeId="0" xr:uid="{00000000-0006-0000-0000-00000A000000}">
      <text>
        <r>
          <rPr>
            <sz val="11"/>
            <color indexed="12"/>
            <rFont val="Arial"/>
            <family val="2"/>
          </rPr>
          <t>Retail cost to customer.  Includes sales tax.</t>
        </r>
      </text>
    </comment>
    <comment ref="H5" authorId="1" shapeId="0" xr:uid="{00000000-0006-0000-0000-00000B000000}">
      <text>
        <r>
          <rPr>
            <sz val="11"/>
            <color indexed="12"/>
            <rFont val="Arial"/>
            <family val="2"/>
          </rPr>
          <t>This is the amount per measure that you charge your customer. For example, $10 per pound for pulled pork or $6 per quart of baked beans.</t>
        </r>
      </text>
    </comment>
    <comment ref="A7" authorId="1" shapeId="0" xr:uid="{00000000-0006-0000-0000-00000C000000}">
      <text>
        <r>
          <rPr>
            <sz val="11"/>
            <color indexed="10"/>
            <rFont val="Arial"/>
            <family val="2"/>
          </rPr>
          <t>This assumes you are selling both sliced brisket and burnt ends for the same event. The Gross Profit is also set accordingly.</t>
        </r>
      </text>
    </comment>
    <comment ref="G7" authorId="1" shapeId="0" xr:uid="{00000000-0006-0000-0000-00000D000000}">
      <text>
        <r>
          <rPr>
            <sz val="11"/>
            <color indexed="10"/>
            <rFont val="Arial"/>
            <family val="2"/>
          </rPr>
          <t>Retail cost reflects both sliced brisket and burnt end prices as well as cooked weight of both.</t>
        </r>
      </text>
    </comment>
    <comment ref="H7" authorId="1" shapeId="0" xr:uid="{00000000-0006-0000-0000-00000E000000}">
      <text>
        <r>
          <rPr>
            <sz val="11"/>
            <color indexed="10"/>
            <rFont val="Araia"/>
          </rPr>
          <t>This is blank because retail cost on this item is really a combination of both sliced brisket prices and burnt end prices.</t>
        </r>
      </text>
    </comment>
    <comment ref="A8" authorId="1" shapeId="0" xr:uid="{00000000-0006-0000-0000-00000F000000}">
      <text>
        <r>
          <rPr>
            <sz val="11"/>
            <color indexed="10"/>
            <rFont val="Arial"/>
            <family val="2"/>
          </rPr>
          <t>This assumes you are purchasing whole briskets but selling only the points. Gross Profit also reflects this. However, your costs will be recouped when the flats are sold.</t>
        </r>
      </text>
    </comment>
    <comment ref="A9" authorId="1" shapeId="0" xr:uid="{00000000-0006-0000-0000-000010000000}">
      <text>
        <r>
          <rPr>
            <sz val="11"/>
            <color indexed="10"/>
            <rFont val="Arial"/>
            <family val="2"/>
          </rPr>
          <t>This assumes you are purchasing whole briskets but selling only the flats. Gross Profit also reflects this. However, your costs will be recouped when the points are sold.</t>
        </r>
      </text>
    </comment>
    <comment ref="A10" authorId="1" shapeId="0" xr:uid="{00000000-0006-0000-0000-000011000000}">
      <text>
        <r>
          <rPr>
            <sz val="11"/>
            <color indexed="10"/>
            <rFont val="Arial"/>
            <family val="2"/>
          </rPr>
          <t>This assumes you are purchasing untrimmed flats and selling sliced brisket only.</t>
        </r>
      </text>
    </comment>
    <comment ref="A18" authorId="1" shapeId="0" xr:uid="{00000000-0006-0000-0000-000012000000}">
      <text>
        <r>
          <rPr>
            <sz val="11"/>
            <color indexed="10"/>
            <rFont val="Arial"/>
            <family val="2"/>
          </rPr>
          <t>Spare rib quantities are based on the number of meat choices. One choice will equal 1/2 slab per person, two meat choices will equal 1/3 slab per person, and three or more meat choices will equal 1/4 slab per person.</t>
        </r>
      </text>
    </comment>
    <comment ref="A19" authorId="0" shapeId="0" xr:uid="{00000000-0006-0000-0000-000013000000}">
      <text>
        <r>
          <rPr>
            <sz val="11"/>
            <color indexed="10"/>
            <rFont val="Arial"/>
            <family val="2"/>
          </rPr>
          <t>Baby back rib quantities are based on the number of meat choices. One choice will equal 1/2 slab per person, two meat choices will equal 1/3 slab per person, and three or more meat choices will equal 1/4 slab per person.</t>
        </r>
      </text>
    </comment>
    <comment ref="A28" authorId="1" shapeId="0" xr:uid="{00000000-0006-0000-0000-000014000000}">
      <text>
        <r>
          <rPr>
            <sz val="11"/>
            <color indexed="10"/>
            <rFont val="Arial"/>
            <family val="2"/>
          </rPr>
          <t>This calculator figures how much is lost after the trimming and cooking are completed. If you part your briskets before you cook them, then you should use the "Flat" and "Point" measurements. Likewise, if you cook your briskets whole, you should use the "Whole Brisket" measurement. It's always a good idea to input your own figures here as every cook and cooker will differ. Meat retention used by this calculator will be the "Average Percent Retained".</t>
        </r>
      </text>
    </comment>
    <comment ref="C29" authorId="1" shapeId="0" xr:uid="{00000000-0006-0000-0000-000015000000}">
      <text>
        <r>
          <rPr>
            <sz val="11"/>
            <color indexed="12"/>
            <rFont val="Arial"/>
            <family val="2"/>
          </rPr>
          <t>Default values assume the brisket flat is trimmed from a whole packer cut brisket.</t>
        </r>
      </text>
    </comment>
    <comment ref="D29" authorId="1" shapeId="0" xr:uid="{00000000-0006-0000-0000-000016000000}">
      <text>
        <r>
          <rPr>
            <sz val="11"/>
            <color indexed="12"/>
            <rFont val="Arial"/>
            <family val="2"/>
          </rPr>
          <t xml:space="preserve">Default values assume the point is trimmed from a whole packer cut brisket. </t>
        </r>
      </text>
    </comment>
  </commentList>
</comments>
</file>

<file path=xl/sharedStrings.xml><?xml version="1.0" encoding="utf-8"?>
<sst xmlns="http://schemas.openxmlformats.org/spreadsheetml/2006/main" count="104" uniqueCount="67">
  <si>
    <t>Number of People</t>
  </si>
  <si>
    <t>Cut of Meat</t>
  </si>
  <si>
    <t>Pulled Pork</t>
  </si>
  <si>
    <t>Number of Meat Choices</t>
  </si>
  <si>
    <t>Spare Ribs</t>
  </si>
  <si>
    <t>Quarts of Baked Beans</t>
  </si>
  <si>
    <t>Chopped Brisket (Chuck Roll)</t>
  </si>
  <si>
    <t>My Cost per Measure</t>
  </si>
  <si>
    <t>My Total Cost</t>
  </si>
  <si>
    <t>cup</t>
  </si>
  <si>
    <t>Retail Cost per Measure</t>
  </si>
  <si>
    <t>Pints of BBQ Sauce</t>
  </si>
  <si>
    <t>Pounds of Cole Slaw</t>
  </si>
  <si>
    <t>Pounds of Potato Salad</t>
  </si>
  <si>
    <t>Total Portion Size (lbs.)</t>
  </si>
  <si>
    <t>Local Sales Tax</t>
  </si>
  <si>
    <t>slab</t>
  </si>
  <si>
    <t>Sliced Brisket + Burnt Ends</t>
  </si>
  <si>
    <t>Green Weight</t>
  </si>
  <si>
    <t>Post Trim Weight</t>
  </si>
  <si>
    <t>Trim Losses</t>
  </si>
  <si>
    <t>Post Trim % Retained</t>
  </si>
  <si>
    <t>Cooked Weight</t>
  </si>
  <si>
    <t>Average Percent Retained</t>
  </si>
  <si>
    <t>Hamburger Buns</t>
  </si>
  <si>
    <t>Per-Person Serving Size</t>
  </si>
  <si>
    <t>Burnt Ends Only (Point off the Packer)</t>
  </si>
  <si>
    <t>Sliced Brisket Only (Flat off the Packer)</t>
  </si>
  <si>
    <t>Chopped Brisket (Entire Packer)</t>
  </si>
  <si>
    <t>Post Cook Measure</t>
  </si>
  <si>
    <t>Number of Side Choices</t>
  </si>
  <si>
    <t>Baby Back (Loin Back) Ribs</t>
  </si>
  <si>
    <t>Meat Retention Override</t>
  </si>
  <si>
    <t>Brisket Flat Only</t>
  </si>
  <si>
    <t>Brisket Point Only</t>
  </si>
  <si>
    <t>Pork Boston Butt</t>
  </si>
  <si>
    <t>Average Percent Meat Retained</t>
  </si>
  <si>
    <t>Post Cook Meat Retention</t>
  </si>
  <si>
    <t>Beef Tri-tip</t>
  </si>
  <si>
    <t>Chicken Quarters</t>
  </si>
  <si>
    <t>Extra Meat #1</t>
  </si>
  <si>
    <t>Extra Meat #2</t>
  </si>
  <si>
    <t>Extra Meat #3</t>
  </si>
  <si>
    <t>Purchase Supplies at Wholesale? (Y/N)</t>
  </si>
  <si>
    <t>Extra Hot Side</t>
  </si>
  <si>
    <t>Extra Cold Side</t>
  </si>
  <si>
    <t>Serving Measure</t>
  </si>
  <si>
    <t>Whole Brisket Packer Cut</t>
  </si>
  <si>
    <t>Raw Material Needed</t>
  </si>
  <si>
    <t>Meat Retention Calculator (Weights in US Pounds)</t>
  </si>
  <si>
    <t>How to Use the Worksheet</t>
  </si>
  <si>
    <t>Sliced Brisket Only (Untrimmed Flat)</t>
  </si>
  <si>
    <t>bun</t>
  </si>
  <si>
    <t>quarter</t>
  </si>
  <si>
    <t>ounce</t>
  </si>
  <si>
    <t>Purchase Measure</t>
  </si>
  <si>
    <t>pound</t>
  </si>
  <si>
    <t>quart</t>
  </si>
  <si>
    <t>16-pack</t>
  </si>
  <si>
    <t>pint</t>
  </si>
  <si>
    <t>Untrimmed Brisket Flat</t>
  </si>
  <si>
    <t>Y</t>
  </si>
  <si>
    <t>Oakridge BBQ Catering Worksheet v4.0</t>
  </si>
  <si>
    <t>Retail Cost Estimate</t>
  </si>
  <si>
    <t>This worksheet is password protected, but the fields you can edit are green. Hover a cell with a red triangle in its upper right corner to display an explanation. After adjusting the number of people and meat and side choices, pick and choose a matching number of meats and sides in the calculator. Refer to the Raw Material Needed column for the amounts you need to cook of each.</t>
  </si>
  <si>
    <t>MeadowCreekBBQSupply.com</t>
  </si>
  <si>
    <t>Meadow Creek Barbecue Supply is a specialty barbecue store in New Holland, 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</si>
</sst>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 ?/4"/>
    <numFmt numFmtId="166" formatCode="#\ ?/2"/>
  </numFmts>
  <fonts count="19">
    <font>
      <sz val="10"/>
      <name val="Arial"/>
    </font>
    <font>
      <sz val="10"/>
      <name val="Arial"/>
      <family val="2"/>
    </font>
    <font>
      <u/>
      <sz val="10"/>
      <color indexed="12"/>
      <name val="Arial"/>
      <family val="2"/>
    </font>
    <font>
      <b/>
      <sz val="12"/>
      <name val="Arial"/>
      <family val="2"/>
    </font>
    <font>
      <b/>
      <sz val="11"/>
      <name val="Arial"/>
      <family val="2"/>
    </font>
    <font>
      <b/>
      <sz val="11"/>
      <color indexed="17"/>
      <name val="Arial"/>
      <family val="2"/>
    </font>
    <font>
      <u/>
      <sz val="10"/>
      <color indexed="12"/>
      <name val="Arial"/>
      <family val="2"/>
    </font>
    <font>
      <b/>
      <sz val="14"/>
      <name val="Arial"/>
      <family val="2"/>
    </font>
    <font>
      <b/>
      <sz val="16"/>
      <name val="Arial"/>
      <family val="2"/>
    </font>
    <font>
      <sz val="11"/>
      <name val="Arial"/>
      <family val="2"/>
    </font>
    <font>
      <b/>
      <u/>
      <sz val="10"/>
      <color indexed="12"/>
      <name val="Arial"/>
      <family val="2"/>
    </font>
    <font>
      <sz val="11"/>
      <color indexed="17"/>
      <name val="Arial"/>
      <family val="2"/>
    </font>
    <font>
      <sz val="11"/>
      <color indexed="12"/>
      <name val="Arial"/>
      <family val="2"/>
    </font>
    <font>
      <b/>
      <sz val="11"/>
      <color theme="0"/>
      <name val="Arial"/>
      <family val="2"/>
    </font>
    <font>
      <sz val="11"/>
      <color theme="1"/>
      <name val="Arial"/>
      <family val="2"/>
    </font>
    <font>
      <b/>
      <sz val="11"/>
      <color theme="1"/>
      <name val="Arial"/>
      <family val="2"/>
    </font>
    <font>
      <sz val="11"/>
      <color indexed="10"/>
      <name val="Arial"/>
      <family val="2"/>
    </font>
    <font>
      <sz val="11"/>
      <color indexed="10"/>
      <name val="Araia"/>
    </font>
    <font>
      <b/>
      <sz val="14"/>
      <color theme="1"/>
      <name val="Arial"/>
      <family val="2"/>
    </font>
  </fonts>
  <fills count="5">
    <fill>
      <patternFill patternType="none"/>
    </fill>
    <fill>
      <patternFill patternType="gray125"/>
    </fill>
    <fill>
      <patternFill patternType="solid">
        <fgColor theme="0" tint="-0.14999847407452621"/>
        <bgColor theme="0" tint="-0.14999847407452621"/>
      </patternFill>
    </fill>
    <fill>
      <patternFill patternType="solid">
        <fgColor theme="1"/>
        <bgColor indexed="64"/>
      </patternFill>
    </fill>
    <fill>
      <patternFill patternType="solid">
        <fgColor theme="1"/>
        <bgColor theme="5"/>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s>
  <cellStyleXfs count="4">
    <xf numFmtId="0" fontId="0" fillId="0" borderId="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61">
    <xf numFmtId="0" fontId="0" fillId="0" borderId="0" xfId="0"/>
    <xf numFmtId="0" fontId="4" fillId="0" borderId="0" xfId="0" applyFont="1"/>
    <xf numFmtId="0" fontId="6" fillId="0" borderId="0" xfId="2" applyFont="1" applyBorder="1" applyAlignment="1" applyProtection="1">
      <alignment horizontal="center" vertical="center"/>
    </xf>
    <xf numFmtId="0" fontId="4" fillId="0" borderId="0" xfId="0" applyFont="1" applyAlignment="1">
      <alignment horizontal="center" vertical="center"/>
    </xf>
    <xf numFmtId="0" fontId="4" fillId="0" borderId="0" xfId="0" applyFont="1" applyAlignment="1">
      <alignment vertical="center" wrapText="1"/>
    </xf>
    <xf numFmtId="0" fontId="10" fillId="0" borderId="0" xfId="2" applyFont="1" applyAlignment="1" applyProtection="1">
      <alignment horizontal="left" vertical="center" indent="1"/>
    </xf>
    <xf numFmtId="0" fontId="4" fillId="0" borderId="0" xfId="0" applyFont="1" applyAlignment="1">
      <alignment vertical="center"/>
    </xf>
    <xf numFmtId="164" fontId="14" fillId="2" borderId="1" xfId="0" applyNumberFormat="1" applyFont="1" applyFill="1" applyBorder="1" applyAlignment="1">
      <alignment horizontal="center" vertical="center"/>
    </xf>
    <xf numFmtId="1" fontId="14" fillId="2" borderId="1" xfId="0" applyNumberFormat="1" applyFont="1" applyFill="1" applyBorder="1" applyAlignment="1">
      <alignment horizontal="center" vertical="center"/>
    </xf>
    <xf numFmtId="44" fontId="14" fillId="2" borderId="1" xfId="1" applyFont="1" applyFill="1" applyBorder="1" applyAlignment="1">
      <alignment vertical="center"/>
    </xf>
    <xf numFmtId="164" fontId="14" fillId="2" borderId="1" xfId="1" applyNumberFormat="1" applyFont="1" applyFill="1" applyBorder="1" applyAlignment="1">
      <alignment horizontal="center" vertical="center"/>
    </xf>
    <xf numFmtId="44" fontId="14" fillId="2" borderId="1" xfId="0" applyNumberFormat="1" applyFont="1" applyFill="1" applyBorder="1" applyAlignment="1">
      <alignment vertical="center"/>
    </xf>
    <xf numFmtId="0" fontId="14" fillId="2" borderId="1" xfId="0" applyFont="1" applyFill="1" applyBorder="1" applyAlignment="1">
      <alignment horizontal="center" vertical="center"/>
    </xf>
    <xf numFmtId="164" fontId="14" fillId="0" borderId="1" xfId="0" applyNumberFormat="1" applyFont="1" applyBorder="1" applyAlignment="1">
      <alignment horizontal="center" vertical="center"/>
    </xf>
    <xf numFmtId="1" fontId="14" fillId="0" borderId="1" xfId="0" applyNumberFormat="1" applyFont="1" applyBorder="1" applyAlignment="1">
      <alignment horizontal="center" vertical="center"/>
    </xf>
    <xf numFmtId="44" fontId="14" fillId="0" borderId="1" xfId="1" applyFont="1" applyBorder="1" applyAlignment="1">
      <alignment vertical="center"/>
    </xf>
    <xf numFmtId="164" fontId="14" fillId="0" borderId="1" xfId="1" applyNumberFormat="1" applyFont="1" applyBorder="1" applyAlignment="1">
      <alignment horizontal="center" vertical="center"/>
    </xf>
    <xf numFmtId="44" fontId="14" fillId="0" borderId="1" xfId="0" applyNumberFormat="1" applyFont="1" applyBorder="1" applyAlignment="1">
      <alignment vertical="center"/>
    </xf>
    <xf numFmtId="0" fontId="14" fillId="0" borderId="1" xfId="0" applyFont="1" applyBorder="1" applyAlignment="1">
      <alignment horizontal="center" vertical="center"/>
    </xf>
    <xf numFmtId="1" fontId="14" fillId="2" borderId="1" xfId="1" applyNumberFormat="1" applyFont="1" applyFill="1" applyBorder="1" applyAlignment="1">
      <alignment horizontal="center" vertical="center"/>
    </xf>
    <xf numFmtId="12" fontId="14" fillId="2" borderId="1" xfId="0" applyNumberFormat="1" applyFont="1" applyFill="1" applyBorder="1" applyAlignment="1">
      <alignment horizontal="center" vertical="center"/>
    </xf>
    <xf numFmtId="1" fontId="14" fillId="0" borderId="1" xfId="1" applyNumberFormat="1" applyFont="1" applyBorder="1" applyAlignment="1">
      <alignment horizontal="center" vertical="center"/>
    </xf>
    <xf numFmtId="12" fontId="14" fillId="0" borderId="1" xfId="0" applyNumberFormat="1" applyFont="1" applyBorder="1" applyAlignment="1">
      <alignment horizontal="center" vertical="center"/>
    </xf>
    <xf numFmtId="166" fontId="14" fillId="2" borderId="1" xfId="0" applyNumberFormat="1" applyFont="1" applyFill="1" applyBorder="1" applyAlignment="1">
      <alignment horizontal="center" vertical="center"/>
    </xf>
    <xf numFmtId="166" fontId="14" fillId="0" borderId="1" xfId="0" applyNumberFormat="1" applyFont="1" applyBorder="1" applyAlignment="1">
      <alignment horizontal="center" vertical="center"/>
    </xf>
    <xf numFmtId="165" fontId="14" fillId="2" borderId="1" xfId="0" applyNumberFormat="1" applyFont="1" applyFill="1" applyBorder="1" applyAlignment="1">
      <alignment horizontal="center" vertical="center"/>
    </xf>
    <xf numFmtId="9" fontId="14" fillId="2" borderId="1" xfId="3" applyFont="1" applyFill="1" applyBorder="1" applyAlignment="1">
      <alignment vertical="center"/>
    </xf>
    <xf numFmtId="9" fontId="14" fillId="0" borderId="1" xfId="3" applyFont="1" applyBorder="1" applyAlignment="1">
      <alignment vertical="center"/>
    </xf>
    <xf numFmtId="0" fontId="13" fillId="3" borderId="2" xfId="0" applyFont="1" applyFill="1" applyBorder="1" applyAlignment="1">
      <alignment vertical="center"/>
    </xf>
    <xf numFmtId="0" fontId="13" fillId="3" borderId="2" xfId="0" applyFont="1" applyFill="1" applyBorder="1" applyAlignment="1">
      <alignment horizontal="center" vertical="center" wrapText="1"/>
    </xf>
    <xf numFmtId="0" fontId="3" fillId="0" borderId="0" xfId="0" applyFont="1" applyAlignment="1">
      <alignment horizontal="left" vertical="center" indent="1"/>
    </xf>
    <xf numFmtId="0" fontId="13" fillId="4" borderId="1" xfId="0" applyFont="1" applyFill="1" applyBorder="1" applyAlignment="1">
      <alignment horizontal="center" vertical="center" wrapText="1"/>
    </xf>
    <xf numFmtId="0" fontId="15" fillId="2" borderId="1" xfId="0" applyFont="1" applyFill="1" applyBorder="1" applyAlignment="1">
      <alignment horizontal="left" vertical="center" indent="1"/>
    </xf>
    <xf numFmtId="0" fontId="15" fillId="0" borderId="1" xfId="0" applyFont="1" applyBorder="1" applyAlignment="1">
      <alignment horizontal="left" vertical="center" indent="1"/>
    </xf>
    <xf numFmtId="0" fontId="9" fillId="0" borderId="0" xfId="0" applyFont="1" applyAlignment="1">
      <alignment vertical="center"/>
    </xf>
    <xf numFmtId="0" fontId="4" fillId="0" borderId="1" xfId="0" applyFont="1" applyBorder="1" applyAlignment="1">
      <alignment horizontal="center" vertical="center" wrapText="1"/>
    </xf>
    <xf numFmtId="0" fontId="11" fillId="0" borderId="1" xfId="0" applyFont="1" applyBorder="1" applyAlignment="1" applyProtection="1">
      <alignment horizontal="center" vertical="center"/>
      <protection locked="0"/>
    </xf>
    <xf numFmtId="12" fontId="11" fillId="0" borderId="1" xfId="0" applyNumberFormat="1" applyFont="1" applyBorder="1" applyAlignment="1" applyProtection="1">
      <alignment horizontal="center" vertical="center"/>
      <protection locked="0"/>
    </xf>
    <xf numFmtId="9" fontId="9" fillId="0" borderId="1" xfId="0" applyNumberFormat="1" applyFont="1" applyBorder="1" applyAlignment="1" applyProtection="1">
      <alignment horizontal="center" vertical="center"/>
      <protection hidden="1"/>
    </xf>
    <xf numFmtId="9" fontId="11" fillId="0" borderId="1" xfId="0" applyNumberFormat="1" applyFont="1" applyBorder="1" applyAlignment="1" applyProtection="1">
      <alignment horizontal="center" vertical="center"/>
      <protection locked="0"/>
    </xf>
    <xf numFmtId="10" fontId="11" fillId="0" borderId="1" xfId="0" applyNumberFormat="1" applyFont="1" applyBorder="1" applyAlignment="1" applyProtection="1">
      <alignment horizontal="center" vertical="center"/>
      <protection locked="0"/>
    </xf>
    <xf numFmtId="44" fontId="11" fillId="2" borderId="1" xfId="1" applyFont="1" applyFill="1" applyBorder="1" applyAlignment="1" applyProtection="1">
      <alignment vertical="center"/>
      <protection locked="0"/>
    </xf>
    <xf numFmtId="44" fontId="11" fillId="0" borderId="1" xfId="1" applyFont="1" applyBorder="1" applyAlignment="1" applyProtection="1">
      <alignment vertical="center"/>
      <protection locked="0"/>
    </xf>
    <xf numFmtId="44" fontId="11" fillId="2" borderId="1" xfId="0" applyNumberFormat="1" applyFont="1" applyFill="1" applyBorder="1" applyAlignment="1" applyProtection="1">
      <alignment vertical="center"/>
      <protection locked="0"/>
    </xf>
    <xf numFmtId="44" fontId="11" fillId="0" borderId="1" xfId="0" applyNumberFormat="1" applyFont="1" applyBorder="1" applyAlignment="1" applyProtection="1">
      <alignment vertical="center"/>
      <protection locked="0"/>
    </xf>
    <xf numFmtId="0" fontId="5" fillId="0" borderId="1" xfId="0" applyFont="1" applyBorder="1" applyAlignment="1" applyProtection="1">
      <alignment horizontal="left" vertical="center" indent="1"/>
      <protection locked="0"/>
    </xf>
    <xf numFmtId="0" fontId="5" fillId="2" borderId="1" xfId="0" applyFont="1" applyFill="1" applyBorder="1" applyAlignment="1" applyProtection="1">
      <alignment horizontal="left" vertical="center" indent="1"/>
      <protection locked="0"/>
    </xf>
    <xf numFmtId="0" fontId="11" fillId="2" borderId="1" xfId="0" applyFont="1" applyFill="1" applyBorder="1" applyAlignment="1" applyProtection="1">
      <alignment vertical="center"/>
      <protection locked="0"/>
    </xf>
    <xf numFmtId="0" fontId="11" fillId="0" borderId="1" xfId="0" applyFont="1" applyBorder="1" applyAlignment="1" applyProtection="1">
      <alignment vertical="center"/>
      <protection locked="0"/>
    </xf>
    <xf numFmtId="0" fontId="5" fillId="3" borderId="2" xfId="0" applyFont="1" applyFill="1" applyBorder="1" applyAlignment="1" applyProtection="1">
      <alignment horizontal="center" vertical="center" wrapText="1"/>
      <protection locked="0"/>
    </xf>
    <xf numFmtId="0" fontId="8" fillId="0" borderId="0" xfId="0" applyFont="1" applyAlignment="1">
      <alignment vertical="center"/>
    </xf>
    <xf numFmtId="0" fontId="15" fillId="0" borderId="0" xfId="0" applyFont="1" applyAlignment="1">
      <alignment horizontal="left" vertical="center" indent="1"/>
    </xf>
    <xf numFmtId="9" fontId="18" fillId="0" borderId="0" xfId="0" applyNumberFormat="1" applyFont="1" applyAlignment="1">
      <alignment horizontal="center" vertical="center"/>
    </xf>
    <xf numFmtId="1" fontId="14" fillId="0" borderId="0" xfId="3" applyNumberFormat="1" applyFont="1" applyBorder="1" applyAlignment="1">
      <alignment vertical="center"/>
    </xf>
    <xf numFmtId="0" fontId="9" fillId="0" borderId="0" xfId="0" applyFont="1" applyAlignment="1">
      <alignment vertical="center" wrapText="1"/>
    </xf>
    <xf numFmtId="0" fontId="9" fillId="0" borderId="0" xfId="0" applyFont="1" applyAlignment="1">
      <alignment horizontal="left" vertical="center" wrapText="1" indent="1"/>
    </xf>
    <xf numFmtId="9" fontId="18" fillId="0" borderId="3" xfId="0" applyNumberFormat="1" applyFont="1" applyBorder="1" applyAlignment="1">
      <alignment horizontal="center" vertical="center"/>
    </xf>
    <xf numFmtId="9" fontId="18" fillId="0" borderId="4" xfId="0" applyNumberFormat="1" applyFont="1" applyBorder="1" applyAlignment="1">
      <alignment horizontal="center" vertical="center"/>
    </xf>
    <xf numFmtId="9" fontId="18" fillId="0" borderId="2" xfId="0" applyNumberFormat="1" applyFont="1" applyBorder="1" applyAlignment="1">
      <alignment horizontal="center" vertical="center"/>
    </xf>
    <xf numFmtId="0" fontId="7" fillId="0" borderId="0" xfId="0" applyFont="1" applyAlignment="1">
      <alignment horizontal="left" vertical="center"/>
    </xf>
    <xf numFmtId="0" fontId="8" fillId="0" borderId="0" xfId="0" applyFont="1" applyAlignment="1">
      <alignment horizontal="left" vertical="center"/>
    </xf>
  </cellXfs>
  <cellStyles count="4">
    <cellStyle name="Currency" xfId="1" builtinId="4"/>
    <cellStyle name="Hyperlink" xfId="2" builtinId="8"/>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meadowcreekbbqsupply.com/"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9"/>
  <sheetViews>
    <sheetView tabSelected="1" zoomScale="88" workbookViewId="0">
      <pane ySplit="5" topLeftCell="A6" activePane="bottomLeft" state="frozen"/>
      <selection pane="bottomLeft" activeCell="D12" sqref="D12"/>
    </sheetView>
  </sheetViews>
  <sheetFormatPr defaultRowHeight="15"/>
  <cols>
    <col min="1" max="1" width="45.85546875" style="1" customWidth="1"/>
    <col min="2" max="10" width="17.28515625" style="1" customWidth="1"/>
    <col min="11" max="11" width="15.42578125" style="1" customWidth="1"/>
    <col min="12" max="13" width="17.28515625" style="1" customWidth="1"/>
    <col min="14" max="16384" width="9.140625" style="1"/>
  </cols>
  <sheetData>
    <row r="1" spans="1:13" ht="34.5" customHeight="1">
      <c r="A1" s="60" t="s">
        <v>62</v>
      </c>
      <c r="B1" s="60"/>
      <c r="C1" s="60"/>
      <c r="D1" s="60"/>
      <c r="E1" s="60"/>
      <c r="F1" s="60"/>
      <c r="G1" s="60"/>
      <c r="H1" s="60"/>
      <c r="I1" s="60"/>
      <c r="J1" s="60"/>
      <c r="K1" s="60"/>
      <c r="L1" s="50"/>
      <c r="M1" s="50"/>
    </row>
    <row r="2" spans="1:13" s="4" customFormat="1" ht="66" customHeight="1">
      <c r="A2" s="35" t="s">
        <v>0</v>
      </c>
      <c r="B2" s="35" t="s">
        <v>3</v>
      </c>
      <c r="C2" s="35" t="s">
        <v>30</v>
      </c>
      <c r="D2" s="35" t="s">
        <v>14</v>
      </c>
      <c r="E2" s="35" t="s">
        <v>36</v>
      </c>
      <c r="F2" s="35" t="s">
        <v>32</v>
      </c>
      <c r="G2" s="35" t="s">
        <v>15</v>
      </c>
      <c r="H2" s="35" t="s">
        <v>43</v>
      </c>
    </row>
    <row r="3" spans="1:13" s="34" customFormat="1" ht="33" customHeight="1">
      <c r="A3" s="36">
        <v>100</v>
      </c>
      <c r="B3" s="36">
        <v>1</v>
      </c>
      <c r="C3" s="36">
        <v>1</v>
      </c>
      <c r="D3" s="37">
        <v>0.33333333333333331</v>
      </c>
      <c r="E3" s="38">
        <f>IF(F3="",K30,F3)</f>
        <v>0.51716666666666666</v>
      </c>
      <c r="F3" s="39"/>
      <c r="G3" s="40">
        <v>8.8999999999999996E-2</v>
      </c>
      <c r="H3" s="36" t="s">
        <v>61</v>
      </c>
    </row>
    <row r="4" spans="1:13" ht="21.75" customHeight="1"/>
    <row r="5" spans="1:13" s="6" customFormat="1" ht="48.75" customHeight="1">
      <c r="A5" s="31" t="s">
        <v>1</v>
      </c>
      <c r="B5" s="31" t="s">
        <v>48</v>
      </c>
      <c r="C5" s="31" t="s">
        <v>55</v>
      </c>
      <c r="D5" s="31" t="s">
        <v>7</v>
      </c>
      <c r="E5" s="31" t="s">
        <v>8</v>
      </c>
      <c r="F5" s="31" t="s">
        <v>29</v>
      </c>
      <c r="G5" s="31" t="s">
        <v>63</v>
      </c>
      <c r="H5" s="31" t="s">
        <v>10</v>
      </c>
      <c r="I5" s="31" t="s">
        <v>25</v>
      </c>
      <c r="J5" s="31" t="s">
        <v>46</v>
      </c>
    </row>
    <row r="6" spans="1:13" s="6" customFormat="1" ht="21.75" customHeight="1">
      <c r="A6" s="32" t="s">
        <v>2</v>
      </c>
      <c r="B6" s="7">
        <f>IF($F$35&gt;0,(($A$3*$D$3/$F$35)/$B$3)/$F$33,0)</f>
        <v>55.91931067147349</v>
      </c>
      <c r="C6" s="8" t="s">
        <v>56</v>
      </c>
      <c r="D6" s="41">
        <v>3.3</v>
      </c>
      <c r="E6" s="9">
        <f>IF($H$3="N",(D6*B6)*(1+$G$3),IF($H$3="NO",(D6*B6)*(1+$G$3),IF($H$3="Y",D6*B6,IF($H$3="YES",D6*B6,"Enter Y or N"))))</f>
        <v>184.53372521586252</v>
      </c>
      <c r="F6" s="10">
        <f>B6*$F$35*$F$33</f>
        <v>33.333333333333329</v>
      </c>
      <c r="G6" s="11">
        <f>(H6*F6)*(1+$G$3)</f>
        <v>470.08499999999987</v>
      </c>
      <c r="H6" s="43">
        <v>12.95</v>
      </c>
      <c r="I6" s="8">
        <f t="shared" ref="I6:I12" si="0">F6/$A$3*16</f>
        <v>5.3333333333333321</v>
      </c>
      <c r="J6" s="12" t="s">
        <v>54</v>
      </c>
    </row>
    <row r="7" spans="1:13" s="6" customFormat="1" ht="21.75" customHeight="1">
      <c r="A7" s="33" t="s">
        <v>17</v>
      </c>
      <c r="B7" s="13">
        <f>IF($B$35&gt;0,(($A$3*$D$3/$B$35)/$B$3)/$B$33,0)</f>
        <v>77.410285349793853</v>
      </c>
      <c r="C7" s="14" t="s">
        <v>56</v>
      </c>
      <c r="D7" s="42">
        <v>2.99</v>
      </c>
      <c r="E7" s="15">
        <f>IF($H$3="N",(D7*B7)*(1+$G$3),IF($H$3="NO",(D7*B7)*(1+$G$3),IF($H$3="Y",D7*B7,IF($H$3="YES",D7*B7,"Enter Y or N"))))</f>
        <v>231.45675319588364</v>
      </c>
      <c r="F7" s="16">
        <f>B7*$B$35*B33</f>
        <v>33.333333333333329</v>
      </c>
      <c r="G7" s="17">
        <f>((F7*0.65*H9)+(F7*0.35*H8))*(1+$G$3)</f>
        <v>495.49499999999995</v>
      </c>
      <c r="H7" s="42">
        <v>0</v>
      </c>
      <c r="I7" s="14">
        <f t="shared" si="0"/>
        <v>5.3333333333333321</v>
      </c>
      <c r="J7" s="18" t="s">
        <v>54</v>
      </c>
    </row>
    <row r="8" spans="1:13" s="6" customFormat="1" ht="21.75" customHeight="1">
      <c r="A8" s="32" t="s">
        <v>26</v>
      </c>
      <c r="B8" s="7">
        <f>IF($D$35&gt;0,(($A$3*$D$3/$D$35)/$B$3)/$D$33,0)</f>
        <v>510.44888875276911</v>
      </c>
      <c r="C8" s="8" t="s">
        <v>56</v>
      </c>
      <c r="D8" s="41">
        <v>2.99</v>
      </c>
      <c r="E8" s="9">
        <f>IF($H$3="N",(D8*B8)*(1+$G$3),IF($H$3="NO",(D8*B8)*(1+$G$3),IF($H$3="Y",D8*B8,IF($H$3="YES",D8*B8,"Enter Y or N"))))</f>
        <v>1526.2421773707797</v>
      </c>
      <c r="F8" s="10">
        <f>(B8*$D$33)*$D$35</f>
        <v>33.333333333333329</v>
      </c>
      <c r="G8" s="11">
        <f t="shared" ref="G8:G26" si="1">(H8*F8)*(1+$G$3)</f>
        <v>542.68499999999995</v>
      </c>
      <c r="H8" s="43">
        <v>14.95</v>
      </c>
      <c r="I8" s="8">
        <f t="shared" si="0"/>
        <v>5.3333333333333321</v>
      </c>
      <c r="J8" s="12" t="s">
        <v>54</v>
      </c>
    </row>
    <row r="9" spans="1:13" s="6" customFormat="1" ht="21.75" customHeight="1">
      <c r="A9" s="33" t="s">
        <v>27</v>
      </c>
      <c r="B9" s="13">
        <f>IF($C$35&gt;0,(($A$3*$D$3/$C$35)/$B$3)/$C$33,0)</f>
        <v>165.13749347706897</v>
      </c>
      <c r="C9" s="14" t="s">
        <v>56</v>
      </c>
      <c r="D9" s="42">
        <v>2.99</v>
      </c>
      <c r="E9" s="15">
        <f t="shared" ref="E9:E26" si="2">IF($H$3="N",(D9*B9)*(1+$G$3),IF($H$3="NO",(D9*B9)*(1+$G$3),IF($H$3="Y",D9*B9,IF($H$3="YES",D9*B9,"Enter Y or N"))))</f>
        <v>493.76110549643624</v>
      </c>
      <c r="F9" s="16">
        <f>(B9*$C$33)*$C$35</f>
        <v>33.333333333333329</v>
      </c>
      <c r="G9" s="17">
        <f t="shared" si="1"/>
        <v>470.08499999999987</v>
      </c>
      <c r="H9" s="44">
        <v>12.95</v>
      </c>
      <c r="I9" s="14">
        <f t="shared" si="0"/>
        <v>5.3333333333333321</v>
      </c>
      <c r="J9" s="18" t="s">
        <v>54</v>
      </c>
    </row>
    <row r="10" spans="1:13" s="6" customFormat="1" ht="21.75" customHeight="1">
      <c r="A10" s="32" t="s">
        <v>51</v>
      </c>
      <c r="B10" s="7">
        <f>IF($E$35&gt;0,($A$3*$D$3/$E$35)/$B$3,0)</f>
        <v>58.377116170461179</v>
      </c>
      <c r="C10" s="8" t="s">
        <v>56</v>
      </c>
      <c r="D10" s="41">
        <v>2.99</v>
      </c>
      <c r="E10" s="9">
        <f t="shared" si="2"/>
        <v>174.54757734967893</v>
      </c>
      <c r="F10" s="10">
        <f>B10*$C$35</f>
        <v>22.066549912434326</v>
      </c>
      <c r="G10" s="11">
        <f t="shared" si="1"/>
        <v>311.19462346760065</v>
      </c>
      <c r="H10" s="43">
        <v>12.95</v>
      </c>
      <c r="I10" s="8">
        <f t="shared" si="0"/>
        <v>3.5306479859894919</v>
      </c>
      <c r="J10" s="12" t="s">
        <v>54</v>
      </c>
    </row>
    <row r="11" spans="1:13" s="6" customFormat="1" ht="21.75" customHeight="1">
      <c r="A11" s="33" t="s">
        <v>6</v>
      </c>
      <c r="B11" s="13">
        <f>($A$3*$D$3/$E$3)/$B$3</f>
        <v>64.453754431195605</v>
      </c>
      <c r="C11" s="14" t="s">
        <v>56</v>
      </c>
      <c r="D11" s="42">
        <v>2.4500000000000002</v>
      </c>
      <c r="E11" s="15">
        <f t="shared" si="2"/>
        <v>157.91169835642924</v>
      </c>
      <c r="F11" s="16">
        <f>B11*$E$3</f>
        <v>33.333333333333329</v>
      </c>
      <c r="G11" s="17">
        <f t="shared" si="1"/>
        <v>470.08499999999987</v>
      </c>
      <c r="H11" s="44">
        <v>12.95</v>
      </c>
      <c r="I11" s="14">
        <f t="shared" si="0"/>
        <v>5.3333333333333321</v>
      </c>
      <c r="J11" s="18" t="s">
        <v>54</v>
      </c>
    </row>
    <row r="12" spans="1:13" s="6" customFormat="1" ht="21.75" customHeight="1">
      <c r="A12" s="32" t="s">
        <v>28</v>
      </c>
      <c r="B12" s="7">
        <f>IF($B$35&gt;0,(($A$3*$D$3/$B$35)/$B$3)/$B$33,($A$3*$D$3/$E$3)/$B$3)</f>
        <v>77.410285349793853</v>
      </c>
      <c r="C12" s="8" t="s">
        <v>56</v>
      </c>
      <c r="D12" s="41">
        <v>2.99</v>
      </c>
      <c r="E12" s="9">
        <f t="shared" si="2"/>
        <v>231.45675319588364</v>
      </c>
      <c r="F12" s="10">
        <f>B12*$B$35*B33</f>
        <v>33.333333333333329</v>
      </c>
      <c r="G12" s="11">
        <f t="shared" si="1"/>
        <v>470.08499999999987</v>
      </c>
      <c r="H12" s="43">
        <v>12.95</v>
      </c>
      <c r="I12" s="8">
        <f t="shared" si="0"/>
        <v>5.3333333333333321</v>
      </c>
      <c r="J12" s="12" t="s">
        <v>54</v>
      </c>
    </row>
    <row r="13" spans="1:13" s="6" customFormat="1" ht="21.75" customHeight="1">
      <c r="A13" s="33" t="s">
        <v>38</v>
      </c>
      <c r="B13" s="13">
        <f>IF($G$35&gt;0,(($A$3*$D$3/$G$35)/$B$3)/$G$33,0)</f>
        <v>45.102703365834337</v>
      </c>
      <c r="C13" s="14" t="s">
        <v>56</v>
      </c>
      <c r="D13" s="42">
        <v>3</v>
      </c>
      <c r="E13" s="15">
        <f t="shared" si="2"/>
        <v>135.308110097503</v>
      </c>
      <c r="F13" s="16">
        <f>B13*$G$35*$G$33</f>
        <v>33.333333333333329</v>
      </c>
      <c r="G13" s="17">
        <f>(H13*F13)*(1+$G$3)</f>
        <v>470.08499999999987</v>
      </c>
      <c r="H13" s="44">
        <v>12.95</v>
      </c>
      <c r="I13" s="14">
        <f>F13/$A$3*16</f>
        <v>5.3333333333333321</v>
      </c>
      <c r="J13" s="18" t="s">
        <v>54</v>
      </c>
    </row>
    <row r="14" spans="1:13" s="6" customFormat="1" ht="21.75" customHeight="1">
      <c r="A14" s="32" t="s">
        <v>39</v>
      </c>
      <c r="B14" s="8">
        <f>IF($B$3=1,$A$3*1.125,IF($B$3=2,($A$3*0.75),IF($B$3&gt;=3,($A$3*0.5),$A$3*0.45)))</f>
        <v>112.5</v>
      </c>
      <c r="C14" s="8" t="s">
        <v>53</v>
      </c>
      <c r="D14" s="41">
        <v>0.99</v>
      </c>
      <c r="E14" s="9">
        <f t="shared" si="2"/>
        <v>111.375</v>
      </c>
      <c r="F14" s="10">
        <f>B14</f>
        <v>112.5</v>
      </c>
      <c r="G14" s="11">
        <f>(H14*F14)*(1+$G$3)</f>
        <v>551.30624999999998</v>
      </c>
      <c r="H14" s="43">
        <v>4.5</v>
      </c>
      <c r="I14" s="8">
        <f>INT(B14/$A$3)</f>
        <v>1</v>
      </c>
      <c r="J14" s="12" t="s">
        <v>53</v>
      </c>
    </row>
    <row r="15" spans="1:13" s="6" customFormat="1" ht="21.75" customHeight="1">
      <c r="A15" s="45" t="s">
        <v>40</v>
      </c>
      <c r="B15" s="13">
        <f>IF($H$35&gt;0,(($A$3*$D$3/$H$35)/$B$3)/$H$33,0)</f>
        <v>0</v>
      </c>
      <c r="C15" s="14" t="s">
        <v>56</v>
      </c>
      <c r="D15" s="42">
        <v>2.95</v>
      </c>
      <c r="E15" s="15">
        <f t="shared" si="2"/>
        <v>0</v>
      </c>
      <c r="F15" s="16">
        <f>B15*$H$35*$H$33</f>
        <v>0</v>
      </c>
      <c r="G15" s="17">
        <f>(H15*F15)*(1+$G$3)</f>
        <v>0</v>
      </c>
      <c r="H15" s="44">
        <v>12.95</v>
      </c>
      <c r="I15" s="14">
        <f>F15/$A$3*16</f>
        <v>0</v>
      </c>
      <c r="J15" s="18" t="s">
        <v>54</v>
      </c>
    </row>
    <row r="16" spans="1:13" s="6" customFormat="1" ht="21.75" customHeight="1">
      <c r="A16" s="46" t="s">
        <v>41</v>
      </c>
      <c r="B16" s="7">
        <f>IF($I$35&gt;0,(($A$3*$D$3/$I$35)/$B$3)/$I$33,0)</f>
        <v>0</v>
      </c>
      <c r="C16" s="8" t="s">
        <v>56</v>
      </c>
      <c r="D16" s="41">
        <v>2.95</v>
      </c>
      <c r="E16" s="9">
        <f t="shared" si="2"/>
        <v>0</v>
      </c>
      <c r="F16" s="10">
        <f>B16*$I$35*$I$33</f>
        <v>0</v>
      </c>
      <c r="G16" s="11">
        <f>(H16*F16)*(1+$G$3)</f>
        <v>0</v>
      </c>
      <c r="H16" s="43">
        <v>12.95</v>
      </c>
      <c r="I16" s="8">
        <f>F16/$A$3*16</f>
        <v>0</v>
      </c>
      <c r="J16" s="12" t="s">
        <v>54</v>
      </c>
    </row>
    <row r="17" spans="1:15" s="6" customFormat="1" ht="21.75" customHeight="1">
      <c r="A17" s="45" t="s">
        <v>42</v>
      </c>
      <c r="B17" s="13">
        <f>IF($J$35&gt;0,(($A$3*$D$3/$J$35)/$B$3)/$J$33,0)</f>
        <v>0</v>
      </c>
      <c r="C17" s="14" t="s">
        <v>56</v>
      </c>
      <c r="D17" s="42">
        <v>2.95</v>
      </c>
      <c r="E17" s="15">
        <f t="shared" si="2"/>
        <v>0</v>
      </c>
      <c r="F17" s="16">
        <f>B17*$J$35*$J$33</f>
        <v>0</v>
      </c>
      <c r="G17" s="17">
        <f>(H17*F17)*(1+$G$3)</f>
        <v>0</v>
      </c>
      <c r="H17" s="44">
        <v>12.95</v>
      </c>
      <c r="I17" s="14">
        <f>F17/$A$3*16</f>
        <v>0</v>
      </c>
      <c r="J17" s="18" t="s">
        <v>54</v>
      </c>
    </row>
    <row r="18" spans="1:15" s="6" customFormat="1" ht="21.75" customHeight="1">
      <c r="A18" s="32" t="s">
        <v>4</v>
      </c>
      <c r="B18" s="8">
        <f>IF($B$3=1,$A$3/2,IF($B$3=2,($A$3/3),IF($B$3&gt;=3,($A$3/4),$A$3/5)))</f>
        <v>50</v>
      </c>
      <c r="C18" s="8" t="s">
        <v>16</v>
      </c>
      <c r="D18" s="41">
        <v>9.89</v>
      </c>
      <c r="E18" s="9">
        <f t="shared" si="2"/>
        <v>494.5</v>
      </c>
      <c r="F18" s="19">
        <f t="shared" ref="F18:F26" si="3">B18</f>
        <v>50</v>
      </c>
      <c r="G18" s="11">
        <f t="shared" si="1"/>
        <v>1249.6275000000001</v>
      </c>
      <c r="H18" s="43">
        <v>22.95</v>
      </c>
      <c r="I18" s="20">
        <f>B18/$A$3</f>
        <v>0.5</v>
      </c>
      <c r="J18" s="12" t="s">
        <v>16</v>
      </c>
    </row>
    <row r="19" spans="1:15" s="6" customFormat="1" ht="21.75" customHeight="1">
      <c r="A19" s="33" t="s">
        <v>31</v>
      </c>
      <c r="B19" s="14">
        <f>IF($B$3=1,$A$3/2,IF($B$3=2,($A$3/3),IF($B$3&gt;=3,($A$3/4),$A$3/5)))</f>
        <v>50</v>
      </c>
      <c r="C19" s="14" t="s">
        <v>16</v>
      </c>
      <c r="D19" s="42">
        <v>10.87</v>
      </c>
      <c r="E19" s="15">
        <f t="shared" si="2"/>
        <v>543.5</v>
      </c>
      <c r="F19" s="21">
        <f>B19</f>
        <v>50</v>
      </c>
      <c r="G19" s="17">
        <f t="shared" si="1"/>
        <v>1358.5274999999999</v>
      </c>
      <c r="H19" s="44">
        <v>24.95</v>
      </c>
      <c r="I19" s="22">
        <f>B19/$A$3</f>
        <v>0.5</v>
      </c>
      <c r="J19" s="18" t="s">
        <v>16</v>
      </c>
    </row>
    <row r="20" spans="1:15" s="6" customFormat="1" ht="21.75" customHeight="1">
      <c r="A20" s="32" t="s">
        <v>5</v>
      </c>
      <c r="B20" s="7">
        <f>IF($C$3=1,ROUND((($A$3/30*4)/$C$3),1),IF($C$3&gt;1,ROUND((($A$3/30*4)/($C$3*0.65)),1),0))</f>
        <v>13.3</v>
      </c>
      <c r="C20" s="12" t="s">
        <v>57</v>
      </c>
      <c r="D20" s="41">
        <v>4</v>
      </c>
      <c r="E20" s="9">
        <f t="shared" si="2"/>
        <v>53.2</v>
      </c>
      <c r="F20" s="19">
        <f t="shared" si="3"/>
        <v>13.3</v>
      </c>
      <c r="G20" s="11">
        <f t="shared" si="1"/>
        <v>129.62911499999998</v>
      </c>
      <c r="H20" s="43">
        <v>8.9499999999999993</v>
      </c>
      <c r="I20" s="23">
        <f>B20*32/$A$3/8</f>
        <v>0.53200000000000003</v>
      </c>
      <c r="J20" s="12" t="s">
        <v>9</v>
      </c>
    </row>
    <row r="21" spans="1:15" s="6" customFormat="1" ht="21.75" customHeight="1">
      <c r="A21" s="33" t="s">
        <v>12</v>
      </c>
      <c r="B21" s="13">
        <f>IF($C$3=1,ROUND((($A$3/4)/$C$3),1),IF($C$3&gt;1,ROUND((($A$3/4)/($C$3*0.65)),1),0))</f>
        <v>25</v>
      </c>
      <c r="C21" s="18" t="s">
        <v>56</v>
      </c>
      <c r="D21" s="42">
        <v>1</v>
      </c>
      <c r="E21" s="15">
        <f t="shared" si="2"/>
        <v>25</v>
      </c>
      <c r="F21" s="21">
        <f t="shared" si="3"/>
        <v>25</v>
      </c>
      <c r="G21" s="17">
        <f t="shared" si="1"/>
        <v>216.43875</v>
      </c>
      <c r="H21" s="44">
        <v>7.95</v>
      </c>
      <c r="I21" s="24">
        <f>B21/$A$3*2</f>
        <v>0.5</v>
      </c>
      <c r="J21" s="18" t="s">
        <v>9</v>
      </c>
    </row>
    <row r="22" spans="1:15" s="6" customFormat="1" ht="21.75" customHeight="1">
      <c r="A22" s="32" t="s">
        <v>13</v>
      </c>
      <c r="B22" s="7">
        <f>IF($C$3=1,ROUND((($A$3/3.6)/$C$3),1),IF($C$3&gt;1,ROUND((($A$3/3.6)/($C$3*0.65)),1),0))</f>
        <v>27.8</v>
      </c>
      <c r="C22" s="12" t="s">
        <v>56</v>
      </c>
      <c r="D22" s="41">
        <v>1</v>
      </c>
      <c r="E22" s="9">
        <f t="shared" si="2"/>
        <v>27.8</v>
      </c>
      <c r="F22" s="19">
        <f t="shared" si="3"/>
        <v>27.8</v>
      </c>
      <c r="G22" s="11">
        <f t="shared" si="1"/>
        <v>240.67989</v>
      </c>
      <c r="H22" s="43">
        <v>7.95</v>
      </c>
      <c r="I22" s="23">
        <f>B22/$A$3*2</f>
        <v>0.55600000000000005</v>
      </c>
      <c r="J22" s="12" t="s">
        <v>9</v>
      </c>
    </row>
    <row r="23" spans="1:15" s="6" customFormat="1" ht="21.75" customHeight="1">
      <c r="A23" s="45" t="s">
        <v>44</v>
      </c>
      <c r="B23" s="13">
        <f>IF($C$3=1,ROUND((($A$3/30*4)/$C$3),1),IF($C$3&gt;1,ROUND((($A$3/30*4)/($C$3*0.65)),1),0))</f>
        <v>13.3</v>
      </c>
      <c r="C23" s="18" t="s">
        <v>57</v>
      </c>
      <c r="D23" s="42">
        <v>3.5</v>
      </c>
      <c r="E23" s="15">
        <f t="shared" si="2"/>
        <v>46.550000000000004</v>
      </c>
      <c r="F23" s="21">
        <f>B23</f>
        <v>13.3</v>
      </c>
      <c r="G23" s="17">
        <f t="shared" si="1"/>
        <v>129.62911499999998</v>
      </c>
      <c r="H23" s="44">
        <v>8.9499999999999993</v>
      </c>
      <c r="I23" s="24">
        <f>B23*32/$A$3/8</f>
        <v>0.53200000000000003</v>
      </c>
      <c r="J23" s="18" t="s">
        <v>9</v>
      </c>
    </row>
    <row r="24" spans="1:15" s="6" customFormat="1" ht="21.75" customHeight="1">
      <c r="A24" s="46" t="s">
        <v>45</v>
      </c>
      <c r="B24" s="7">
        <f>IF($C$3=1,ROUND((($A$3/4)/$C$3),1),IF($C$3&gt;1,ROUND((($A$3/4)/($C$3*0.65)),1),0))</f>
        <v>25</v>
      </c>
      <c r="C24" s="12" t="s">
        <v>56</v>
      </c>
      <c r="D24" s="41">
        <v>1</v>
      </c>
      <c r="E24" s="9">
        <f t="shared" si="2"/>
        <v>25</v>
      </c>
      <c r="F24" s="19">
        <f>B24</f>
        <v>25</v>
      </c>
      <c r="G24" s="11">
        <f>(H24*F24)*(1+$G$3)</f>
        <v>216.43875</v>
      </c>
      <c r="H24" s="43">
        <v>7.95</v>
      </c>
      <c r="I24" s="23">
        <f>B24/$A$3*2</f>
        <v>0.5</v>
      </c>
      <c r="J24" s="12" t="s">
        <v>9</v>
      </c>
    </row>
    <row r="25" spans="1:15" s="6" customFormat="1" ht="21.75" customHeight="1">
      <c r="A25" s="33" t="s">
        <v>24</v>
      </c>
      <c r="B25" s="13">
        <f>ROUND((($A$3*1.5)/16),1)</f>
        <v>9.4</v>
      </c>
      <c r="C25" s="18" t="s">
        <v>58</v>
      </c>
      <c r="D25" s="42"/>
      <c r="E25" s="15">
        <f t="shared" si="2"/>
        <v>0</v>
      </c>
      <c r="F25" s="16">
        <f t="shared" si="3"/>
        <v>9.4</v>
      </c>
      <c r="G25" s="17">
        <f t="shared" si="1"/>
        <v>51.183</v>
      </c>
      <c r="H25" s="44">
        <v>5</v>
      </c>
      <c r="I25" s="24">
        <f>B25*16/$A$3</f>
        <v>1.504</v>
      </c>
      <c r="J25" s="18" t="s">
        <v>52</v>
      </c>
    </row>
    <row r="26" spans="1:15" s="6" customFormat="1" ht="21.75" customHeight="1">
      <c r="A26" s="32" t="s">
        <v>11</v>
      </c>
      <c r="B26" s="8">
        <f>ROUND((($A$3*1.28)/12),0)</f>
        <v>11</v>
      </c>
      <c r="C26" s="12" t="s">
        <v>59</v>
      </c>
      <c r="D26" s="41">
        <v>4</v>
      </c>
      <c r="E26" s="9">
        <f t="shared" si="2"/>
        <v>44</v>
      </c>
      <c r="F26" s="19">
        <f t="shared" si="3"/>
        <v>11</v>
      </c>
      <c r="G26" s="11">
        <f t="shared" si="1"/>
        <v>95.831999999999994</v>
      </c>
      <c r="H26" s="43">
        <v>8</v>
      </c>
      <c r="I26" s="25">
        <f>B26*16/$A$3/8</f>
        <v>0.22</v>
      </c>
      <c r="J26" s="12" t="s">
        <v>9</v>
      </c>
    </row>
    <row r="27" spans="1:15" ht="21.75" customHeight="1"/>
    <row r="28" spans="1:15" ht="37.5" customHeight="1">
      <c r="A28" s="59" t="s">
        <v>49</v>
      </c>
      <c r="B28" s="59"/>
      <c r="C28" s="59"/>
      <c r="D28" s="59"/>
      <c r="E28" s="59"/>
      <c r="F28" s="59"/>
      <c r="G28" s="59"/>
      <c r="H28" s="59"/>
      <c r="I28" s="59"/>
      <c r="J28" s="59"/>
      <c r="K28" s="59"/>
    </row>
    <row r="29" spans="1:15" s="6" customFormat="1" ht="60" customHeight="1">
      <c r="A29" s="28"/>
      <c r="B29" s="29" t="s">
        <v>47</v>
      </c>
      <c r="C29" s="29" t="s">
        <v>33</v>
      </c>
      <c r="D29" s="29" t="s">
        <v>34</v>
      </c>
      <c r="E29" s="29" t="s">
        <v>60</v>
      </c>
      <c r="F29" s="29" t="s">
        <v>35</v>
      </c>
      <c r="G29" s="29" t="s">
        <v>38</v>
      </c>
      <c r="H29" s="49" t="s">
        <v>40</v>
      </c>
      <c r="I29" s="49" t="s">
        <v>41</v>
      </c>
      <c r="J29" s="49" t="s">
        <v>42</v>
      </c>
      <c r="K29" s="29" t="s">
        <v>23</v>
      </c>
      <c r="M29" s="2"/>
      <c r="N29" s="3"/>
      <c r="O29" s="3"/>
    </row>
    <row r="30" spans="1:15" s="6" customFormat="1" ht="21.75" customHeight="1">
      <c r="A30" s="32" t="s">
        <v>18</v>
      </c>
      <c r="B30" s="47">
        <v>54.3</v>
      </c>
      <c r="C30" s="47">
        <v>54.3</v>
      </c>
      <c r="D30" s="47">
        <v>54.3</v>
      </c>
      <c r="E30" s="47">
        <v>15.4</v>
      </c>
      <c r="F30" s="47">
        <v>72.900000000000006</v>
      </c>
      <c r="G30" s="47">
        <v>72.900000000000006</v>
      </c>
      <c r="H30" s="47">
        <v>0</v>
      </c>
      <c r="I30" s="47">
        <v>0</v>
      </c>
      <c r="J30" s="47">
        <v>0</v>
      </c>
      <c r="K30" s="56">
        <f>SUM(B35:J35)/SUM(B36:J36)</f>
        <v>0.51716666666666666</v>
      </c>
      <c r="M30" s="3"/>
      <c r="N30" s="3"/>
      <c r="O30" s="3"/>
    </row>
    <row r="31" spans="1:15" s="6" customFormat="1" ht="21.75" customHeight="1">
      <c r="A31" s="33" t="s">
        <v>19</v>
      </c>
      <c r="B31" s="48">
        <v>46.2</v>
      </c>
      <c r="C31" s="48">
        <v>29</v>
      </c>
      <c r="D31" s="48">
        <v>17.2</v>
      </c>
      <c r="E31" s="48">
        <v>13.8</v>
      </c>
      <c r="F31" s="48">
        <v>70.2</v>
      </c>
      <c r="G31" s="48">
        <v>65.5</v>
      </c>
      <c r="H31" s="48">
        <v>0</v>
      </c>
      <c r="I31" s="48">
        <v>0</v>
      </c>
      <c r="J31" s="48">
        <v>0</v>
      </c>
      <c r="K31" s="57"/>
      <c r="M31" s="3"/>
      <c r="N31" s="3"/>
      <c r="O31" s="3"/>
    </row>
    <row r="32" spans="1:15" s="6" customFormat="1" ht="21.75" customHeight="1">
      <c r="A32" s="32" t="s">
        <v>20</v>
      </c>
      <c r="B32" s="26">
        <f t="shared" ref="B32:J32" si="4">IF(B30&gt;0,ROUND(((B30-B31)/B30),3),0)</f>
        <v>0.14899999999999999</v>
      </c>
      <c r="C32" s="26">
        <f t="shared" si="4"/>
        <v>0.46600000000000003</v>
      </c>
      <c r="D32" s="26">
        <f t="shared" si="4"/>
        <v>0.68300000000000005</v>
      </c>
      <c r="E32" s="26">
        <f t="shared" ref="E32" si="5">IF(E30&gt;0,ROUND(((E30-E31)/E30),3),0)</f>
        <v>0.104</v>
      </c>
      <c r="F32" s="26">
        <f t="shared" si="4"/>
        <v>3.6999999999999998E-2</v>
      </c>
      <c r="G32" s="26">
        <f t="shared" si="4"/>
        <v>0.10199999999999999</v>
      </c>
      <c r="H32" s="26">
        <f t="shared" si="4"/>
        <v>0</v>
      </c>
      <c r="I32" s="26">
        <f t="shared" si="4"/>
        <v>0</v>
      </c>
      <c r="J32" s="26">
        <f t="shared" si="4"/>
        <v>0</v>
      </c>
      <c r="K32" s="57"/>
      <c r="M32" s="3"/>
      <c r="N32" s="3"/>
      <c r="O32" s="3"/>
    </row>
    <row r="33" spans="1:15" s="6" customFormat="1" ht="21.75" customHeight="1">
      <c r="A33" s="33" t="s">
        <v>21</v>
      </c>
      <c r="B33" s="27">
        <f t="shared" ref="B33:J33" si="6">IF(B30&gt;0,ROUND((B31/B30),3),0)</f>
        <v>0.85099999999999998</v>
      </c>
      <c r="C33" s="27">
        <f t="shared" si="6"/>
        <v>0.53400000000000003</v>
      </c>
      <c r="D33" s="27">
        <f t="shared" si="6"/>
        <v>0.317</v>
      </c>
      <c r="E33" s="27">
        <f t="shared" ref="E33" si="7">IF(E30&gt;0,ROUND((E31/E30),3),0)</f>
        <v>0.89600000000000002</v>
      </c>
      <c r="F33" s="27">
        <f t="shared" si="6"/>
        <v>0.96299999999999997</v>
      </c>
      <c r="G33" s="27">
        <f t="shared" si="6"/>
        <v>0.89800000000000002</v>
      </c>
      <c r="H33" s="27">
        <f t="shared" si="6"/>
        <v>0</v>
      </c>
      <c r="I33" s="27">
        <f t="shared" si="6"/>
        <v>0</v>
      </c>
      <c r="J33" s="27">
        <f t="shared" si="6"/>
        <v>0</v>
      </c>
      <c r="K33" s="57"/>
      <c r="M33" s="3"/>
      <c r="N33" s="3"/>
      <c r="O33" s="3"/>
    </row>
    <row r="34" spans="1:15" s="6" customFormat="1" ht="21.75" customHeight="1">
      <c r="A34" s="32" t="s">
        <v>22</v>
      </c>
      <c r="B34" s="47">
        <v>27.5</v>
      </c>
      <c r="C34" s="47">
        <v>20.5</v>
      </c>
      <c r="D34" s="47">
        <v>11.2</v>
      </c>
      <c r="E34" s="47">
        <v>8.8000000000000007</v>
      </c>
      <c r="F34" s="47">
        <v>45.1</v>
      </c>
      <c r="G34" s="47">
        <v>60</v>
      </c>
      <c r="H34" s="47">
        <v>0</v>
      </c>
      <c r="I34" s="47">
        <v>0</v>
      </c>
      <c r="J34" s="47">
        <v>0</v>
      </c>
      <c r="K34" s="57"/>
      <c r="M34" s="3"/>
      <c r="N34" s="3"/>
      <c r="O34" s="3"/>
    </row>
    <row r="35" spans="1:15" s="6" customFormat="1" ht="21.75" customHeight="1">
      <c r="A35" s="33" t="s">
        <v>37</v>
      </c>
      <c r="B35" s="27">
        <f>IF(B30=0,0,IF($F$3&lt;&gt;"",$E$3,ROUND((B34/B30),3)))</f>
        <v>0.50600000000000001</v>
      </c>
      <c r="C35" s="27">
        <f t="shared" ref="C35:J35" si="8">IF(C30=0,0,IF($F$3&lt;&gt;"",$E$3,ROUND((C34/C30),3)))</f>
        <v>0.378</v>
      </c>
      <c r="D35" s="27">
        <f t="shared" si="8"/>
        <v>0.20599999999999999</v>
      </c>
      <c r="E35" s="27">
        <f t="shared" si="8"/>
        <v>0.57099999999999995</v>
      </c>
      <c r="F35" s="27">
        <f t="shared" si="8"/>
        <v>0.61899999999999999</v>
      </c>
      <c r="G35" s="27">
        <f t="shared" si="8"/>
        <v>0.82299999999999995</v>
      </c>
      <c r="H35" s="27">
        <f t="shared" si="8"/>
        <v>0</v>
      </c>
      <c r="I35" s="27">
        <f t="shared" si="8"/>
        <v>0</v>
      </c>
      <c r="J35" s="27">
        <f t="shared" si="8"/>
        <v>0</v>
      </c>
      <c r="K35" s="58"/>
    </row>
    <row r="36" spans="1:15" s="6" customFormat="1" ht="21.75" hidden="1" customHeight="1">
      <c r="A36" s="51"/>
      <c r="B36" s="53">
        <f>IF(B35&lt;&gt;0,1,0)</f>
        <v>1</v>
      </c>
      <c r="C36" s="53">
        <f t="shared" ref="C36:J36" si="9">IF(C35&lt;&gt;0,1,0)</f>
        <v>1</v>
      </c>
      <c r="D36" s="53">
        <f t="shared" si="9"/>
        <v>1</v>
      </c>
      <c r="E36" s="53">
        <f t="shared" si="9"/>
        <v>1</v>
      </c>
      <c r="F36" s="53">
        <f t="shared" si="9"/>
        <v>1</v>
      </c>
      <c r="G36" s="53">
        <f t="shared" si="9"/>
        <v>1</v>
      </c>
      <c r="H36" s="53">
        <f t="shared" si="9"/>
        <v>0</v>
      </c>
      <c r="I36" s="53">
        <f t="shared" si="9"/>
        <v>0</v>
      </c>
      <c r="J36" s="53">
        <f t="shared" si="9"/>
        <v>0</v>
      </c>
      <c r="K36" s="52"/>
    </row>
    <row r="37" spans="1:15" ht="21.75" customHeight="1"/>
    <row r="38" spans="1:15" ht="60" customHeight="1">
      <c r="A38" s="30" t="s">
        <v>50</v>
      </c>
      <c r="B38" s="55" t="s">
        <v>64</v>
      </c>
      <c r="C38" s="55"/>
      <c r="D38" s="55"/>
      <c r="E38" s="55"/>
      <c r="F38" s="55"/>
      <c r="G38" s="55"/>
      <c r="H38" s="55"/>
      <c r="I38" s="55"/>
      <c r="J38" s="55"/>
      <c r="K38" s="54"/>
      <c r="L38" s="54"/>
      <c r="M38" s="54"/>
    </row>
    <row r="39" spans="1:15" ht="60" customHeight="1">
      <c r="A39" s="5" t="s">
        <v>65</v>
      </c>
      <c r="B39" s="55" t="s">
        <v>66</v>
      </c>
      <c r="C39" s="55"/>
      <c r="D39" s="55"/>
      <c r="E39" s="55"/>
      <c r="F39" s="55"/>
      <c r="G39" s="55"/>
      <c r="H39" s="55"/>
      <c r="I39" s="55"/>
      <c r="J39" s="55"/>
      <c r="K39" s="54"/>
      <c r="L39" s="54"/>
      <c r="M39" s="54"/>
    </row>
  </sheetData>
  <sheetProtection algorithmName="SHA-512" hashValue="UjBZV+J+Yz6Dk30oYIgkW4aaad7P1pLaMdeqp/6AWdU3Vo8wwTHq4J/xDVO+iEZZ1lwJFxKxLiVqcZdI12fBJw==" saltValue="e/4KG9+orEUQxR8mKP4dOw==" spinCount="100000" sheet="1" objects="1" scenarios="1" selectLockedCells="1"/>
  <dataConsolidate/>
  <mergeCells count="5">
    <mergeCell ref="A28:K28"/>
    <mergeCell ref="A1:K1"/>
    <mergeCell ref="B39:J39"/>
    <mergeCell ref="B38:J38"/>
    <mergeCell ref="K30:K35"/>
  </mergeCells>
  <phoneticPr fontId="0" type="noConversion"/>
  <hyperlinks>
    <hyperlink ref="A39" r:id="rId1" xr:uid="{00000000-0004-0000-0000-000000000000}"/>
  </hyperlinks>
  <printOptions horizontalCentered="1"/>
  <pageMargins left="0.75" right="0.75" top="0.75" bottom="0.75" header="0.5" footer="0.5"/>
  <pageSetup scale="76" orientation="landscape" r:id="rId2"/>
  <headerFooter alignWithMargins="0"/>
  <ignoredErrors>
    <ignoredError sqref="G7 I23 I14" formula="1"/>
  </ignoredError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Catering Worksheet</vt:lpstr>
      <vt:lpstr>'Catering Worksheet'!Print_Area</vt:lpstr>
    </vt:vector>
  </TitlesOfParts>
  <Company>DST Systems,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Trump</dc:creator>
  <cp:lastModifiedBy>Lavern Gingerich</cp:lastModifiedBy>
  <cp:lastPrinted>2004-06-05T03:12:35Z</cp:lastPrinted>
  <dcterms:created xsi:type="dcterms:W3CDTF">2004-04-02T19:51:53Z</dcterms:created>
  <dcterms:modified xsi:type="dcterms:W3CDTF">2023-07-29T18:24:28Z</dcterms:modified>
</cp:coreProperties>
</file>